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showInkAnnotation="0" autoCompressPictures="0"/>
  <bookViews>
    <workbookView xWindow="0" yWindow="0" windowWidth="20480" windowHeight="15360" tabRatio="500"/>
  </bookViews>
  <sheets>
    <sheet name="Cystinuria" sheetId="1" r:id="rId1"/>
    <sheet name="References" sheetId="5" r:id="rId2"/>
    <sheet name="Disclaimer and Copyright" sheetId="4" r:id="rId3"/>
  </sheets>
  <definedNames>
    <definedName name="_xlnm.Print_Area" localSheetId="0">Cystinuria!$A$2:$G$48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7" i="1"/>
  <c r="S9" i="1"/>
  <c r="S8" i="1"/>
  <c r="X9" i="1"/>
  <c r="D12" i="1"/>
  <c r="U14" i="1"/>
  <c r="X14" i="1"/>
  <c r="D17" i="1"/>
  <c r="Z15" i="1"/>
  <c r="U15" i="1"/>
  <c r="X15" i="1"/>
  <c r="D18" i="1"/>
  <c r="U10" i="1"/>
  <c r="X10" i="1"/>
  <c r="D13" i="1"/>
  <c r="U11" i="1"/>
  <c r="X11" i="1"/>
  <c r="D14" i="1"/>
  <c r="X13" i="1"/>
  <c r="D16" i="1"/>
  <c r="S23" i="1"/>
  <c r="S25" i="1"/>
  <c r="S24" i="1"/>
  <c r="S22" i="1"/>
  <c r="B25" i="1"/>
  <c r="S28" i="1"/>
  <c r="S30" i="1"/>
  <c r="S29" i="1"/>
  <c r="C32" i="1"/>
  <c r="D32" i="1"/>
  <c r="W23" i="1"/>
  <c r="G32" i="1"/>
  <c r="C33" i="1"/>
  <c r="D33" i="1"/>
  <c r="W24" i="1"/>
  <c r="G33" i="1"/>
  <c r="C34" i="1"/>
  <c r="D34" i="1"/>
  <c r="W25" i="1"/>
  <c r="G34" i="1"/>
  <c r="V24" i="1"/>
  <c r="F33" i="1"/>
  <c r="V25" i="1"/>
  <c r="F34" i="1"/>
  <c r="V23" i="1"/>
  <c r="F32" i="1"/>
  <c r="E32" i="1"/>
  <c r="E33" i="1"/>
  <c r="E34" i="1"/>
  <c r="A13" i="1"/>
  <c r="V11" i="1"/>
  <c r="B14" i="1"/>
  <c r="F18" i="1"/>
  <c r="U12" i="1"/>
  <c r="Z12" i="1"/>
  <c r="F15" i="1"/>
  <c r="Z10" i="1"/>
  <c r="F13" i="1"/>
  <c r="D7" i="1"/>
  <c r="S5" i="1"/>
  <c r="S4" i="1"/>
  <c r="Z9" i="1"/>
  <c r="F12" i="1"/>
  <c r="Z11" i="1"/>
  <c r="F14" i="1"/>
  <c r="U13" i="1"/>
  <c r="Z13" i="1"/>
  <c r="F16" i="1"/>
  <c r="AA10" i="1"/>
  <c r="G13" i="1"/>
  <c r="AA11" i="1"/>
  <c r="G14" i="1"/>
  <c r="AA12" i="1"/>
  <c r="G15" i="1"/>
  <c r="AA13" i="1"/>
  <c r="G16" i="1"/>
  <c r="AA14" i="1"/>
  <c r="G17" i="1"/>
  <c r="Y10" i="1"/>
  <c r="E13" i="1"/>
  <c r="Y11" i="1"/>
  <c r="E14" i="1"/>
  <c r="Y12" i="1"/>
  <c r="E15" i="1"/>
  <c r="Y14" i="1"/>
  <c r="E17" i="1"/>
  <c r="Y15" i="1"/>
  <c r="E18" i="1"/>
  <c r="W10" i="1"/>
  <c r="C13" i="1"/>
  <c r="W12" i="1"/>
  <c r="C15" i="1"/>
  <c r="W13" i="1"/>
  <c r="C16" i="1"/>
  <c r="W14" i="1"/>
  <c r="C17" i="1"/>
  <c r="W15" i="1"/>
  <c r="C18" i="1"/>
  <c r="V12" i="1"/>
  <c r="B15" i="1"/>
  <c r="V13" i="1"/>
  <c r="B16" i="1"/>
  <c r="V14" i="1"/>
  <c r="B17" i="1"/>
  <c r="V15" i="1"/>
  <c r="B18" i="1"/>
  <c r="V9" i="1"/>
  <c r="B12" i="1"/>
  <c r="W9" i="1"/>
  <c r="C12" i="1"/>
  <c r="Y9" i="1"/>
  <c r="AA9" i="1"/>
  <c r="G12" i="1"/>
  <c r="A14" i="1"/>
  <c r="A15" i="1"/>
  <c r="A16" i="1"/>
  <c r="A17" i="1"/>
  <c r="A18" i="1"/>
  <c r="S13" i="1"/>
  <c r="S12" i="1"/>
  <c r="S17" i="1"/>
  <c r="S16" i="1"/>
  <c r="B24" i="1"/>
  <c r="G6" i="1"/>
  <c r="E6" i="1"/>
</calcChain>
</file>

<file path=xl/sharedStrings.xml><?xml version="1.0" encoding="utf-8"?>
<sst xmlns="http://schemas.openxmlformats.org/spreadsheetml/2006/main" count="104" uniqueCount="75">
  <si>
    <t>mmol/l</t>
  </si>
  <si>
    <t>mg/l</t>
  </si>
  <si>
    <t>mmol</t>
  </si>
  <si>
    <t>mmol/mol Crea</t>
  </si>
  <si>
    <t>Cystinuria</t>
  </si>
  <si>
    <t>[Crea]-U</t>
  </si>
  <si>
    <t>Crea/24h</t>
  </si>
  <si>
    <t>norm &lt; 19</t>
  </si>
  <si>
    <t>target &lt; 1</t>
  </si>
  <si>
    <t>target &lt; 250</t>
  </si>
  <si>
    <t>norm &lt; 30</t>
  </si>
  <si>
    <t>norm &lt; 0.13</t>
  </si>
  <si>
    <t>used</t>
  </si>
  <si>
    <t>intermediate</t>
  </si>
  <si>
    <t>[Crea]-U mmol/l</t>
  </si>
  <si>
    <t>Crea/24h mmol</t>
  </si>
  <si>
    <t>mg/g Crea</t>
  </si>
  <si>
    <t>g/l</t>
  </si>
  <si>
    <t>g</t>
  </si>
  <si>
    <t>umol/g Crea</t>
  </si>
  <si>
    <t>norm &lt; 170</t>
  </si>
  <si>
    <t>norm &lt; 40</t>
  </si>
  <si>
    <t>mmol/24h</t>
  </si>
  <si>
    <t>mg/24h</t>
  </si>
  <si>
    <t>name</t>
  </si>
  <si>
    <t>date</t>
  </si>
  <si>
    <t>DOB</t>
  </si>
  <si>
    <t>Legal Disclaimer</t>
  </si>
  <si>
    <t>While I have made every effort to ensure that all calculations are correct, I take pride in the fact that I am learning daily. So please acknowledge, that I can take no legal responsibility for any mistakes that I missed. This work is not to be considered medical advice. Under no circumstances shall I be responsible for any damages arising from the use of this calculator. All views are my own and not those of my employer.</t>
  </si>
  <si>
    <t>Copyright and distribution info</t>
  </si>
  <si>
    <t>The copyright of this work belongs to the creator, Florian Buchkremer. As it is intended to be part of the FOAM (Free Open Access Meducation, #FOAMed) project, it is distributed for free personal use and no parts of it are password protected. Commercial use is prohibited without prior permission. Sharing -in unaltered form and with attribution to the source- is encouraged.</t>
  </si>
  <si>
    <t>(For this disclaimer I borrowed heavily from Steve Caroll's blog "How to write a medical blog/podcast disclaimer" on EM BASIC www.embasic.org)</t>
  </si>
  <si>
    <t>Urine Volume</t>
  </si>
  <si>
    <t>calc/meas</t>
  </si>
  <si>
    <t>Tiopronin</t>
  </si>
  <si>
    <t>Captopril</t>
  </si>
  <si>
    <t>MW</t>
  </si>
  <si>
    <t>dose range</t>
  </si>
  <si>
    <t>mg/d</t>
  </si>
  <si>
    <t>%</t>
  </si>
  <si>
    <t>mmol/d</t>
  </si>
  <si>
    <t>500-2000</t>
  </si>
  <si>
    <t>400-1200</t>
  </si>
  <si>
    <t>dose</t>
  </si>
  <si>
    <t>oral bioavail</t>
  </si>
  <si>
    <t>Anzahl</t>
  </si>
  <si>
    <t>Goal urine volume</t>
  </si>
  <si>
    <t>Summe</t>
  </si>
  <si>
    <t>mmol/24h used</t>
  </si>
  <si>
    <t>mmol/d used</t>
  </si>
  <si>
    <t>cystine excretion *</t>
  </si>
  <si>
    <t>nec urine vol *</t>
  </si>
  <si>
    <t>Penicillamine</t>
  </si>
  <si>
    <t>necessary &gt;</t>
  </si>
  <si>
    <t>absorbed drug binding cystein</t>
  </si>
  <si>
    <t>(at pH&gt;7)</t>
  </si>
  <si>
    <t>expected effect on</t>
  </si>
  <si>
    <t>ml/d</t>
  </si>
  <si>
    <t>Urinary cystine</t>
  </si>
  <si>
    <t>Cystine Binding Thiol Drugs (CBTDs)</t>
  </si>
  <si>
    <t xml:space="preserve">effect on </t>
  </si>
  <si>
    <t>cystine excretion</t>
  </si>
  <si>
    <t>urine vol</t>
  </si>
  <si>
    <t xml:space="preserve"> (to reach [target] at pH&gt;7)</t>
  </si>
  <si>
    <t>Crea/d</t>
  </si>
  <si>
    <t>*calculations based on limted evidence</t>
  </si>
  <si>
    <t>Carlsson MS, Denneberg T, Emanuelsson BM, Kågedal B, Lindgren S.</t>
  </si>
  <si>
    <t>Pharmacokinetics of oral tiopronin. Eur J Clin Pharmacol. 1993;45(1):79-84.</t>
  </si>
  <si>
    <t>PubMed PMID: 8405034.</t>
  </si>
  <si>
    <t>Goldfarb DS, Coe FL, Asplin JR. Urinary cystine excretion and capacity in</t>
  </si>
  <si>
    <t>patients with cystinuria. Kidney Int. 2006 Mar;69(6):1041-7. PubMed PMID:</t>
  </si>
  <si>
    <t>16501494.</t>
  </si>
  <si>
    <t>Worcester E. Cystine stones. UpToDate, Topic 7362, Version 12.0</t>
  </si>
  <si>
    <t>wikipedia.org</t>
  </si>
  <si>
    <t>Grasso M, Goldfarb D. Urinary stones. Wiley-Blackwell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</si>
</sst>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9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sz val="16"/>
      <color indexed="8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6"/>
      <color theme="1"/>
      <name val="Calibri"/>
      <scheme val="minor"/>
    </font>
    <font>
      <sz val="12"/>
      <color indexed="8"/>
      <name val="Calibri"/>
      <family val="2"/>
    </font>
    <font>
      <b/>
      <u/>
      <sz val="10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CBAD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Alignment="0"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2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0" fillId="0" borderId="0" xfId="0" applyNumberFormat="1"/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49" fontId="6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17" applyFont="1" applyAlignment="1">
      <protection locked="0"/>
    </xf>
    <xf numFmtId="2" fontId="14" fillId="0" borderId="0" xfId="17" applyNumberFormat="1" applyFont="1" applyAlignment="1">
      <protection locked="0"/>
    </xf>
    <xf numFmtId="0" fontId="14" fillId="0" borderId="0" xfId="17" applyFont="1" applyAlignment="1">
      <alignment horizontal="center" vertical="center"/>
      <protection locked="0"/>
    </xf>
    <xf numFmtId="2" fontId="12" fillId="2" borderId="4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14" fontId="17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9" builtinId="9" hidden="1"/>
    <cellStyle name="Besuchter Link" xfId="21" builtinId="9" hidden="1"/>
    <cellStyle name="Besuchter Link" xfId="2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8" builtinId="8" hidden="1"/>
    <cellStyle name="Link" xfId="20" builtinId="8" hidden="1"/>
    <cellStyle name="Link" xfId="22" builtinId="8" hidden="1"/>
    <cellStyle name="Standard" xfId="0" builtinId="0"/>
    <cellStyle name="Standard 4" xfId="1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38</xdr:row>
      <xdr:rowOff>25401</xdr:rowOff>
    </xdr:from>
    <xdr:to>
      <xdr:col>7</xdr:col>
      <xdr:colOff>12699</xdr:colOff>
      <xdr:row>39</xdr:row>
      <xdr:rowOff>25401</xdr:rowOff>
    </xdr:to>
    <xdr:sp macro="" textlink="">
      <xdr:nvSpPr>
        <xdr:cNvPr id="4" name="Textfeld 3"/>
        <xdr:cNvSpPr txBox="1"/>
      </xdr:nvSpPr>
      <xdr:spPr>
        <a:xfrm>
          <a:off x="3340100" y="6985001"/>
          <a:ext cx="2451099" cy="190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de-CH" sz="800" baseline="0"/>
            <a:t>swissnephrokalk Cystinuria V1-1 </a:t>
          </a:r>
          <a:r>
            <a:rPr lang="de-CH" sz="800"/>
            <a:t>©Florian Buchkremer</a:t>
          </a:r>
        </a:p>
      </xdr:txBody>
    </xdr:sp>
    <xdr:clientData/>
  </xdr:twoCellAnchor>
  <xdr:twoCellAnchor>
    <xdr:from>
      <xdr:col>0</xdr:col>
      <xdr:colOff>609600</xdr:colOff>
      <xdr:row>46</xdr:row>
      <xdr:rowOff>152400</xdr:rowOff>
    </xdr:from>
    <xdr:to>
      <xdr:col>3</xdr:col>
      <xdr:colOff>12700</xdr:colOff>
      <xdr:row>47</xdr:row>
      <xdr:rowOff>139700</xdr:rowOff>
    </xdr:to>
    <xdr:sp macro="" textlink="">
      <xdr:nvSpPr>
        <xdr:cNvPr id="5" name="Textfeld 4"/>
        <xdr:cNvSpPr txBox="1"/>
      </xdr:nvSpPr>
      <xdr:spPr>
        <a:xfrm>
          <a:off x="609600" y="8636000"/>
          <a:ext cx="1879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600"/>
            <a:t>adapted from Biyani CS, Cartledge JJ. EAU-EBU 2006</a:t>
          </a:r>
        </a:p>
        <a:p>
          <a:pPr algn="r"/>
          <a:endParaRPr lang="de-DE" sz="800"/>
        </a:p>
      </xdr:txBody>
    </xdr:sp>
    <xdr:clientData/>
  </xdr:twoCellAnchor>
  <xdr:twoCellAnchor editAs="oneCell">
    <xdr:from>
      <xdr:col>0</xdr:col>
      <xdr:colOff>0</xdr:colOff>
      <xdr:row>42</xdr:row>
      <xdr:rowOff>26852</xdr:rowOff>
    </xdr:from>
    <xdr:to>
      <xdr:col>3</xdr:col>
      <xdr:colOff>3353</xdr:colOff>
      <xdr:row>46</xdr:row>
      <xdr:rowOff>165099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48452"/>
          <a:ext cx="2479853" cy="90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AA42"/>
  <sheetViews>
    <sheetView tabSelected="1" workbookViewId="0">
      <selection activeCell="A12" sqref="A12"/>
    </sheetView>
  </sheetViews>
  <sheetFormatPr baseColWidth="10" defaultRowHeight="15" x14ac:dyDescent="0"/>
  <cols>
    <col min="8" max="8" width="14.1640625" style="3" customWidth="1"/>
    <col min="9" max="13" width="14.1640625" customWidth="1"/>
  </cols>
  <sheetData>
    <row r="2" spans="1:27" ht="21">
      <c r="A2" s="26" t="s">
        <v>4</v>
      </c>
      <c r="B2" s="8"/>
      <c r="C2" s="8"/>
      <c r="D2" s="8"/>
      <c r="E2" s="8"/>
      <c r="F2" s="8"/>
      <c r="G2" s="8"/>
    </row>
    <row r="3" spans="1:27" ht="14" customHeight="1">
      <c r="A3" s="9"/>
      <c r="B3" s="8"/>
      <c r="C3" s="8"/>
      <c r="D3" s="8"/>
      <c r="E3" s="8"/>
      <c r="F3" s="8"/>
      <c r="G3" s="8"/>
      <c r="K3" s="4" t="s">
        <v>36</v>
      </c>
      <c r="L3" s="4" t="s">
        <v>44</v>
      </c>
      <c r="M3" s="70" t="s">
        <v>54</v>
      </c>
      <c r="N3" s="64"/>
      <c r="O3" s="4" t="s">
        <v>37</v>
      </c>
      <c r="R3" s="19" t="s">
        <v>14</v>
      </c>
      <c r="S3" s="18"/>
    </row>
    <row r="4" spans="1:27" ht="14" customHeight="1">
      <c r="A4" s="48" t="s">
        <v>24</v>
      </c>
      <c r="B4" s="54"/>
      <c r="D4" s="59" t="s">
        <v>5</v>
      </c>
      <c r="E4" s="60"/>
      <c r="F4" s="59" t="s">
        <v>64</v>
      </c>
      <c r="G4" s="60"/>
      <c r="J4" s="4" t="s">
        <v>52</v>
      </c>
      <c r="K4" s="27">
        <v>149.21199999999999</v>
      </c>
      <c r="L4" s="27">
        <v>55</v>
      </c>
      <c r="M4" s="66">
        <v>80</v>
      </c>
      <c r="N4" s="67"/>
      <c r="O4" s="29" t="s">
        <v>41</v>
      </c>
      <c r="R4" s="18" t="s">
        <v>12</v>
      </c>
      <c r="S4" s="18" t="str">
        <f>IF(D6&gt;0,D6,S5)</f>
        <v/>
      </c>
    </row>
    <row r="5" spans="1:27" ht="14" customHeight="1">
      <c r="A5" s="49" t="s">
        <v>26</v>
      </c>
      <c r="B5" s="51"/>
      <c r="C5" s="8"/>
      <c r="D5" s="33" t="s">
        <v>0</v>
      </c>
      <c r="E5" s="34" t="s">
        <v>17</v>
      </c>
      <c r="F5" s="33" t="s">
        <v>2</v>
      </c>
      <c r="G5" s="36" t="s">
        <v>18</v>
      </c>
      <c r="J5" s="4" t="s">
        <v>34</v>
      </c>
      <c r="K5" s="27">
        <v>163.19</v>
      </c>
      <c r="L5" s="27">
        <v>63</v>
      </c>
      <c r="M5" s="66">
        <v>80</v>
      </c>
      <c r="N5" s="67"/>
      <c r="O5" s="29" t="s">
        <v>42</v>
      </c>
      <c r="R5" s="18" t="s">
        <v>13</v>
      </c>
      <c r="S5" s="18" t="str">
        <f>IF(D7&gt;0,D7,0)</f>
        <v/>
      </c>
    </row>
    <row r="6" spans="1:27" ht="14" customHeight="1">
      <c r="A6" s="50"/>
      <c r="B6" s="50"/>
      <c r="C6" s="8"/>
      <c r="D6" s="2"/>
      <c r="E6" s="37" t="str">
        <f>IF(D6&gt;0,D6*113.1179/1000,"")</f>
        <v/>
      </c>
      <c r="F6" s="2"/>
      <c r="G6" s="37" t="str">
        <f>IF(F6&gt;0,F6*113.1179/1000,"")</f>
        <v/>
      </c>
      <c r="J6" s="4" t="s">
        <v>35</v>
      </c>
      <c r="K6" s="27">
        <v>217.29</v>
      </c>
      <c r="L6" s="27">
        <v>75</v>
      </c>
      <c r="M6" s="66">
        <v>80</v>
      </c>
      <c r="N6" s="67"/>
      <c r="O6" s="29">
        <v>150</v>
      </c>
      <c r="R6" s="18"/>
      <c r="S6" s="18"/>
    </row>
    <row r="7" spans="1:27" ht="14" customHeight="1">
      <c r="A7" s="48" t="s">
        <v>25</v>
      </c>
      <c r="B7" s="52"/>
      <c r="C7" s="8"/>
      <c r="D7" s="35" t="str">
        <f>IF(E7&gt;0,E7*1000/113.1179,"")</f>
        <v/>
      </c>
      <c r="E7" s="2"/>
      <c r="F7" s="35" t="str">
        <f>IF(G7&gt;0,G7*1000/113.1179,"")</f>
        <v/>
      </c>
      <c r="G7" s="2"/>
      <c r="J7" s="1"/>
      <c r="K7" s="1"/>
      <c r="L7" s="4" t="s">
        <v>39</v>
      </c>
      <c r="M7" s="68" t="s">
        <v>39</v>
      </c>
      <c r="N7" s="69"/>
      <c r="O7" s="4" t="s">
        <v>38</v>
      </c>
      <c r="R7" s="19" t="s">
        <v>15</v>
      </c>
      <c r="S7" s="18"/>
    </row>
    <row r="8" spans="1:27" ht="14" customHeight="1">
      <c r="C8" s="8"/>
      <c r="D8" s="8"/>
      <c r="E8" s="8"/>
      <c r="F8" s="8"/>
      <c r="G8" s="8"/>
      <c r="P8" s="43"/>
      <c r="R8" s="18" t="s">
        <v>12</v>
      </c>
      <c r="S8" s="18" t="str">
        <f>IF(F6&gt;0,F6,S9)</f>
        <v/>
      </c>
      <c r="U8" s="5" t="s">
        <v>3</v>
      </c>
      <c r="V8" s="6" t="s">
        <v>19</v>
      </c>
      <c r="W8" s="5" t="s">
        <v>16</v>
      </c>
      <c r="X8" s="5" t="s">
        <v>22</v>
      </c>
      <c r="Y8" s="5" t="s">
        <v>23</v>
      </c>
      <c r="Z8" s="5" t="s">
        <v>0</v>
      </c>
      <c r="AA8" s="5" t="s">
        <v>1</v>
      </c>
    </row>
    <row r="9" spans="1:27" ht="14" customHeight="1">
      <c r="A9" s="8"/>
      <c r="B9" s="8"/>
      <c r="C9" s="8"/>
      <c r="D9" s="8"/>
      <c r="E9" s="8"/>
      <c r="F9" s="8"/>
      <c r="G9" s="8"/>
      <c r="P9" s="43"/>
      <c r="R9" s="18" t="s">
        <v>13</v>
      </c>
      <c r="S9" s="18" t="str">
        <f>IF(F7&gt;0,F7,0)</f>
        <v/>
      </c>
      <c r="V9" s="10" t="str">
        <f>IF(A12&gt;0,A12/113.1179*1000,"")</f>
        <v/>
      </c>
      <c r="W9" s="10" t="str">
        <f>IF(A12&gt;0,(A12/113.1179)*240,"")</f>
        <v/>
      </c>
      <c r="X9" s="11" t="str">
        <f>IF(A12&gt;0,A12*S8/1000,"")</f>
        <v/>
      </c>
      <c r="Y9" s="10" t="str">
        <f>IF(A12&gt;0,X9*240,"")</f>
        <v/>
      </c>
      <c r="Z9" s="12" t="str">
        <f>IF(A12&gt;0,A12*S4/1000,"")</f>
        <v/>
      </c>
      <c r="AA9" s="13" t="str">
        <f>IF(A12&gt;0,Z9*240,"")</f>
        <v/>
      </c>
    </row>
    <row r="10" spans="1:27" ht="14" customHeight="1">
      <c r="N10" s="45"/>
      <c r="O10" s="45"/>
      <c r="P10" s="43"/>
      <c r="R10" s="18"/>
      <c r="S10" s="18"/>
      <c r="U10" s="14" t="str">
        <f>IF(B13&gt;0,B13*113.1179/1000,"")</f>
        <v/>
      </c>
      <c r="W10" s="10" t="str">
        <f>IF(B13&gt;0,(U10/113.1179)*240,"")</f>
        <v/>
      </c>
      <c r="X10" s="11" t="str">
        <f>IF(B13&gt;0,U10*S8/1000,"")</f>
        <v/>
      </c>
      <c r="Y10" s="10" t="str">
        <f>IF(B13&gt;0,X10*240,"")</f>
        <v/>
      </c>
      <c r="Z10" s="12" t="str">
        <f>IF(B13&gt;0,U10*S4/1000,"")</f>
        <v/>
      </c>
      <c r="AA10" s="13" t="str">
        <f>IF(B13&gt;0,Z10*240,"")</f>
        <v/>
      </c>
    </row>
    <row r="11" spans="1:27" ht="14" customHeight="1">
      <c r="A11" s="5" t="s">
        <v>3</v>
      </c>
      <c r="B11" s="6" t="s">
        <v>19</v>
      </c>
      <c r="C11" s="5" t="s">
        <v>16</v>
      </c>
      <c r="D11" s="5" t="s">
        <v>40</v>
      </c>
      <c r="E11" s="5" t="s">
        <v>38</v>
      </c>
      <c r="F11" s="5" t="s">
        <v>0</v>
      </c>
      <c r="G11" s="5" t="s">
        <v>1</v>
      </c>
      <c r="N11" s="45"/>
      <c r="O11" s="45"/>
      <c r="P11" s="44"/>
      <c r="R11" s="19" t="s">
        <v>5</v>
      </c>
      <c r="S11" s="18"/>
      <c r="U11" s="14" t="str">
        <f>IF(C14&gt;0,C14*113.1179/240,"")</f>
        <v/>
      </c>
      <c r="V11" s="10" t="str">
        <f>IF(C14&gt;0,U11/113.1179*1000,"")</f>
        <v/>
      </c>
      <c r="X11" s="11" t="str">
        <f>IF(C14&gt;0,U11*S8/1000,"")</f>
        <v/>
      </c>
      <c r="Y11" s="10" t="str">
        <f>IF(C14&gt;0,X11*240,"")</f>
        <v/>
      </c>
      <c r="Z11" s="12" t="str">
        <f>IF(C14&gt;0,U11*S4/1000,"")</f>
        <v/>
      </c>
      <c r="AA11" s="13" t="str">
        <f>IF(C14&gt;0,Z11*240,"")</f>
        <v/>
      </c>
    </row>
    <row r="12" spans="1:27" ht="14" customHeight="1">
      <c r="A12" s="15"/>
      <c r="B12" s="10" t="str">
        <f t="shared" ref="B12:G12" si="0">IF(ISERROR(V9),"",V9)</f>
        <v/>
      </c>
      <c r="C12" s="13" t="str">
        <f t="shared" si="0"/>
        <v/>
      </c>
      <c r="D12" s="47" t="str">
        <f t="shared" si="0"/>
        <v/>
      </c>
      <c r="E12" s="13" t="str">
        <f>IF(ISERROR(Y9),"",Y9)</f>
        <v/>
      </c>
      <c r="F12" s="11" t="str">
        <f t="shared" si="0"/>
        <v/>
      </c>
      <c r="G12" s="13" t="str">
        <f t="shared" si="0"/>
        <v/>
      </c>
      <c r="R12" s="18" t="s">
        <v>12</v>
      </c>
      <c r="S12" s="18">
        <f>IF(D6*F6&gt;0,D6,S13)</f>
        <v>0</v>
      </c>
      <c r="U12" s="14" t="str">
        <f>IF(D15&gt;0,D15/S8*1000,"")</f>
        <v/>
      </c>
      <c r="V12" s="10" t="str">
        <f>IF(D15&gt;0,U12/113.1179*1000,"")</f>
        <v/>
      </c>
      <c r="W12" s="10" t="str">
        <f>IF(D15&gt;0,(U12/113.1179)*240,"")</f>
        <v/>
      </c>
      <c r="Y12" s="10" t="str">
        <f>IF(D15&gt;0,D15*240,"")</f>
        <v/>
      </c>
      <c r="Z12" s="12" t="str">
        <f>IF(D15&gt;0,U12*S4/1000,"")</f>
        <v/>
      </c>
      <c r="AA12" s="13" t="str">
        <f>IF(D15&gt;0,Z12*240,"")</f>
        <v/>
      </c>
    </row>
    <row r="13" spans="1:27" ht="14" customHeight="1">
      <c r="A13" s="14" t="str">
        <f t="shared" ref="A13:A18" si="1">IF(ISERROR(U10),"",U10)</f>
        <v/>
      </c>
      <c r="B13" s="15"/>
      <c r="C13" s="13" t="str">
        <f>IF(ISERROR(W10),"",W10)</f>
        <v/>
      </c>
      <c r="D13" s="47" t="str">
        <f>IF(ISERROR(X10),"",X10)</f>
        <v/>
      </c>
      <c r="E13" s="13" t="str">
        <f>IF(ISERROR(Y10),"",Y10)</f>
        <v/>
      </c>
      <c r="F13" s="11" t="str">
        <f t="shared" ref="F13:G16" si="2">IF(ISERROR(Z10),"",Z10)</f>
        <v/>
      </c>
      <c r="G13" s="13" t="str">
        <f t="shared" si="2"/>
        <v/>
      </c>
      <c r="R13" s="18" t="s">
        <v>13</v>
      </c>
      <c r="S13" s="18">
        <f>IF(E7*G7&gt;0,E7,0)</f>
        <v>0</v>
      </c>
      <c r="U13" s="14" t="str">
        <f>IF(E16&gt;0,X13/S8*1000,"")</f>
        <v/>
      </c>
      <c r="V13" s="10" t="str">
        <f>IF(E16&gt;0,U13/113.1179*1000,"")</f>
        <v/>
      </c>
      <c r="W13" s="10" t="str">
        <f>IF(E16&gt;0,(U13/113.1179)*240,"")</f>
        <v/>
      </c>
      <c r="X13" s="11" t="str">
        <f>IF(E16&gt;0,E16/240,"")</f>
        <v/>
      </c>
      <c r="Z13" s="12" t="str">
        <f>IF(E16&gt;0,U13*S4/1000,"")</f>
        <v/>
      </c>
      <c r="AA13" s="13" t="str">
        <f>IF(E16&gt;0,Z13*240,"")</f>
        <v/>
      </c>
    </row>
    <row r="14" spans="1:27" ht="14" customHeight="1">
      <c r="A14" s="14" t="str">
        <f t="shared" si="1"/>
        <v/>
      </c>
      <c r="B14" s="10" t="str">
        <f>IF(ISERROR(V11),"",V11)</f>
        <v/>
      </c>
      <c r="C14" s="16"/>
      <c r="D14" s="47" t="str">
        <f>IF(ISERROR(X11),"",X11)</f>
        <v/>
      </c>
      <c r="E14" s="13" t="str">
        <f>IF(ISERROR(Y11),"",Y11)</f>
        <v/>
      </c>
      <c r="F14" s="11" t="str">
        <f t="shared" si="2"/>
        <v/>
      </c>
      <c r="G14" s="13" t="str">
        <f t="shared" si="2"/>
        <v/>
      </c>
      <c r="R14" s="18"/>
      <c r="S14" s="18"/>
      <c r="U14" s="14" t="str">
        <f>IF(F17&gt;0,F17/S4*1000,"")</f>
        <v/>
      </c>
      <c r="V14" s="10" t="str">
        <f>IF(F17&gt;0,U14/113.1179*1000,"")</f>
        <v/>
      </c>
      <c r="W14" s="10" t="str">
        <f>IF(F17&gt;0,(U14/113.1179)*240,"")</f>
        <v/>
      </c>
      <c r="X14" s="11" t="str">
        <f>IF(F17&gt;0,U14*S8/1000,"")</f>
        <v/>
      </c>
      <c r="Y14" s="10" t="str">
        <f>IF(F17&gt;0,X14*240,"")</f>
        <v/>
      </c>
      <c r="AA14" s="13" t="str">
        <f>IF(F17&gt;0,F17*240,"")</f>
        <v/>
      </c>
    </row>
    <row r="15" spans="1:27" ht="14" customHeight="1">
      <c r="A15" s="14" t="str">
        <f t="shared" si="1"/>
        <v/>
      </c>
      <c r="B15" s="10" t="str">
        <f>IF(ISERROR(V12),"",V12)</f>
        <v/>
      </c>
      <c r="C15" s="13" t="str">
        <f>IF(ISERROR(W12),"",W12)</f>
        <v/>
      </c>
      <c r="D15" s="17"/>
      <c r="E15" s="13" t="str">
        <f>IF(ISERROR(Y12),"",Y12)</f>
        <v/>
      </c>
      <c r="F15" s="11" t="str">
        <f t="shared" si="2"/>
        <v/>
      </c>
      <c r="G15" s="13" t="str">
        <f t="shared" si="2"/>
        <v/>
      </c>
      <c r="R15" s="19" t="s">
        <v>6</v>
      </c>
      <c r="S15" s="18"/>
      <c r="U15" s="14" t="str">
        <f>IF(G18&gt;0,Z15/S4*1000,"")</f>
        <v/>
      </c>
      <c r="V15" s="10" t="str">
        <f>IF(G18&gt;0,U15/113.1179*1000,"")</f>
        <v/>
      </c>
      <c r="W15" s="10" t="str">
        <f>IF(G18&gt;0,(U15/113.1179)*240,"")</f>
        <v/>
      </c>
      <c r="X15" s="11" t="str">
        <f>IF(G18&gt;0,U15*S8/1000,"")</f>
        <v/>
      </c>
      <c r="Y15" s="10" t="str">
        <f>IF(G18&gt;0,X15*240,"")</f>
        <v/>
      </c>
      <c r="Z15" s="12" t="str">
        <f>IF(G18&gt;0,G18/240,"")</f>
        <v/>
      </c>
    </row>
    <row r="16" spans="1:27" ht="14" customHeight="1">
      <c r="A16" s="14" t="str">
        <f t="shared" si="1"/>
        <v/>
      </c>
      <c r="B16" s="10" t="str">
        <f>IF(ISERROR(V13),"",V13)</f>
        <v/>
      </c>
      <c r="C16" s="13" t="str">
        <f>IF(ISERROR(W13),"",W13)</f>
        <v/>
      </c>
      <c r="D16" s="47" t="str">
        <f>IF(ISERROR(X13),"",X13)</f>
        <v/>
      </c>
      <c r="E16" s="16"/>
      <c r="F16" s="11" t="str">
        <f t="shared" si="2"/>
        <v/>
      </c>
      <c r="G16" s="13" t="str">
        <f t="shared" si="2"/>
        <v/>
      </c>
      <c r="R16" s="18" t="s">
        <v>12</v>
      </c>
      <c r="S16" s="18">
        <f>IF(F6*D6&gt;0,F6,S17)</f>
        <v>0</v>
      </c>
    </row>
    <row r="17" spans="1:23" ht="14" customHeight="1">
      <c r="A17" s="14" t="str">
        <f t="shared" si="1"/>
        <v/>
      </c>
      <c r="B17" s="10" t="str">
        <f>IF(ISERROR(V14),"",V14)</f>
        <v/>
      </c>
      <c r="C17" s="13" t="str">
        <f>IF(ISERROR(W14),"",W14)</f>
        <v/>
      </c>
      <c r="D17" s="47" t="str">
        <f>IF(ISERROR(X14),"",X14)</f>
        <v/>
      </c>
      <c r="E17" s="13" t="str">
        <f>IF(ISERROR(Y14),"",Y14)</f>
        <v/>
      </c>
      <c r="F17" s="46"/>
      <c r="G17" s="13" t="str">
        <f>IF(ISERROR(AA14),"",AA14)</f>
        <v/>
      </c>
      <c r="R17" s="18" t="s">
        <v>13</v>
      </c>
      <c r="S17" s="18">
        <f>IF(G7*E7&gt;0,G7,0)</f>
        <v>0</v>
      </c>
    </row>
    <row r="18" spans="1:23" ht="14" customHeight="1">
      <c r="A18" s="14" t="str">
        <f t="shared" si="1"/>
        <v/>
      </c>
      <c r="B18" s="10" t="str">
        <f>IF(ISERROR(V15),"",V15)</f>
        <v/>
      </c>
      <c r="C18" s="13" t="str">
        <f>IF(ISERROR(W15),"",W15)</f>
        <v/>
      </c>
      <c r="D18" s="47" t="str">
        <f>IF(ISERROR(X15),"",X15)</f>
        <v/>
      </c>
      <c r="E18" s="13" t="str">
        <f>IF(ISERROR(Y15),"",Y15)</f>
        <v/>
      </c>
      <c r="F18" s="11" t="str">
        <f>IF(ISERROR(Z15),"",Z15)</f>
        <v/>
      </c>
      <c r="G18" s="16"/>
    </row>
    <row r="19" spans="1:23" ht="14" customHeight="1">
      <c r="A19" s="4" t="s">
        <v>7</v>
      </c>
      <c r="B19" s="4" t="s">
        <v>20</v>
      </c>
      <c r="C19" s="4" t="s">
        <v>21</v>
      </c>
      <c r="D19" s="4" t="s">
        <v>11</v>
      </c>
      <c r="E19" s="4" t="s">
        <v>10</v>
      </c>
      <c r="F19" s="4" t="s">
        <v>8</v>
      </c>
      <c r="G19" s="4" t="s">
        <v>9</v>
      </c>
    </row>
    <row r="20" spans="1:23" ht="14" customHeight="1">
      <c r="C20" s="8"/>
      <c r="F20" s="57" t="s">
        <v>55</v>
      </c>
      <c r="G20" s="58"/>
    </row>
    <row r="21" spans="1:23" ht="14" customHeight="1">
      <c r="V21" t="s">
        <v>60</v>
      </c>
    </row>
    <row r="22" spans="1:23" ht="14" customHeight="1">
      <c r="A22" s="22" t="s">
        <v>32</v>
      </c>
      <c r="C22" s="8"/>
      <c r="R22" t="s">
        <v>46</v>
      </c>
      <c r="S22">
        <f>S24/1*1000</f>
        <v>0</v>
      </c>
      <c r="V22" t="s">
        <v>61</v>
      </c>
      <c r="W22" t="s">
        <v>62</v>
      </c>
    </row>
    <row r="23" spans="1:23" ht="14" customHeight="1">
      <c r="B23" s="4" t="s">
        <v>57</v>
      </c>
      <c r="G23" s="1"/>
      <c r="R23" t="s">
        <v>45</v>
      </c>
      <c r="S23">
        <f>COUNT(D12:D18)</f>
        <v>0</v>
      </c>
      <c r="V23" s="32" t="e">
        <f>IF(B32&gt;0,D32/S29*100,"")</f>
        <v>#DIV/0!</v>
      </c>
      <c r="W23" s="32" t="e">
        <f>B25-((S29-D32)/1*1000)</f>
        <v>#VALUE!</v>
      </c>
    </row>
    <row r="24" spans="1:23" ht="14" customHeight="1">
      <c r="A24" s="38" t="s">
        <v>33</v>
      </c>
      <c r="B24" s="13" t="str">
        <f>IF(S12*S16&gt;0,S16/S12*1000,"")</f>
        <v/>
      </c>
      <c r="C24" s="7"/>
      <c r="R24" t="s">
        <v>49</v>
      </c>
      <c r="S24" s="23">
        <f>IF(S23=1,S25,0)</f>
        <v>0</v>
      </c>
      <c r="V24" s="32" t="e">
        <f>IF(B33&gt;0,D33/S29*100,"")</f>
        <v>#DIV/0!</v>
      </c>
      <c r="W24" s="32" t="e">
        <f>B25-((S29-D33)/1*1000)</f>
        <v>#VALUE!</v>
      </c>
    </row>
    <row r="25" spans="1:23" ht="14" customHeight="1">
      <c r="A25" s="38" t="s">
        <v>53</v>
      </c>
      <c r="B25" s="53" t="str">
        <f>IF(S22&gt;0,S22,"")</f>
        <v/>
      </c>
      <c r="C25" s="24" t="s">
        <v>63</v>
      </c>
      <c r="G25" s="8"/>
      <c r="R25" t="s">
        <v>47</v>
      </c>
      <c r="S25" s="23">
        <f>SUM(D12:D18)</f>
        <v>0</v>
      </c>
      <c r="V25" s="32" t="e">
        <f>IF(B34&gt;0,D34/S29*100,"")</f>
        <v>#DIV/0!</v>
      </c>
      <c r="W25" s="32" t="e">
        <f>B25-((S29-D34)/1*1000)</f>
        <v>#VALUE!</v>
      </c>
    </row>
    <row r="26" spans="1:23" ht="14" customHeight="1">
      <c r="G26" s="8"/>
      <c r="S26" s="23"/>
      <c r="V26" t="s">
        <v>39</v>
      </c>
      <c r="W26" t="s">
        <v>57</v>
      </c>
    </row>
    <row r="27" spans="1:23" ht="14" customHeight="1">
      <c r="R27" t="s">
        <v>40</v>
      </c>
      <c r="S27" s="23"/>
    </row>
    <row r="28" spans="1:23" ht="14" customHeight="1">
      <c r="R28" t="s">
        <v>45</v>
      </c>
      <c r="S28" s="30">
        <f>COUNT(D12:D18)</f>
        <v>0</v>
      </c>
    </row>
    <row r="29" spans="1:23" ht="14" customHeight="1">
      <c r="A29" s="25" t="s">
        <v>59</v>
      </c>
      <c r="B29" s="8"/>
      <c r="C29" s="24"/>
      <c r="D29" s="8"/>
      <c r="E29" s="8"/>
      <c r="R29" t="s">
        <v>48</v>
      </c>
      <c r="S29" s="23">
        <f>IF(S28=1,S30,0)</f>
        <v>0</v>
      </c>
    </row>
    <row r="30" spans="1:23" ht="14" customHeight="1">
      <c r="B30" s="39"/>
      <c r="C30" s="40"/>
      <c r="D30" s="61" t="s">
        <v>56</v>
      </c>
      <c r="E30" s="62"/>
      <c r="F30" s="62"/>
      <c r="G30" s="63"/>
      <c r="R30" t="s">
        <v>47</v>
      </c>
      <c r="S30" s="23">
        <f>SUM(D12:D18)</f>
        <v>0</v>
      </c>
    </row>
    <row r="31" spans="1:23">
      <c r="A31" s="8"/>
      <c r="B31" s="55" t="s">
        <v>43</v>
      </c>
      <c r="C31" s="56"/>
      <c r="D31" s="55" t="s">
        <v>50</v>
      </c>
      <c r="E31" s="64"/>
      <c r="F31" s="65"/>
      <c r="G31" s="41" t="s">
        <v>51</v>
      </c>
    </row>
    <row r="32" spans="1:23">
      <c r="A32" s="24" t="s">
        <v>52</v>
      </c>
      <c r="B32" s="27">
        <v>2000</v>
      </c>
      <c r="C32" s="28">
        <f>IF(B32&gt;0,B32/K4,"")</f>
        <v>13.403747687853524</v>
      </c>
      <c r="D32" s="31">
        <f>IF(B32&gt;0,-C32*L4/100/2*M4/100,"")</f>
        <v>-2.9488244913277755</v>
      </c>
      <c r="E32" s="32">
        <f>IF(B32&gt;0,D32*240,"")</f>
        <v>-707.71787791866609</v>
      </c>
      <c r="F32" s="32" t="str">
        <f t="shared" ref="F32:G34" si="3">IF(ISERROR(V23),"",V23)</f>
        <v/>
      </c>
      <c r="G32" s="32" t="str">
        <f t="shared" si="3"/>
        <v/>
      </c>
    </row>
    <row r="33" spans="1:7">
      <c r="A33" s="24" t="s">
        <v>34</v>
      </c>
      <c r="B33" s="27">
        <v>1200</v>
      </c>
      <c r="C33" s="28">
        <f>IF(B33&gt;0,B33/K5,"")</f>
        <v>7.3533917519455851</v>
      </c>
      <c r="D33" s="31">
        <f>IF(B33&gt;0,-C33*L5/100/2*M5/100,"")</f>
        <v>-1.8530547214902873</v>
      </c>
      <c r="E33" s="32">
        <f>IF(B33&gt;0,D33*240,"")</f>
        <v>-444.73313315766893</v>
      </c>
      <c r="F33" s="32" t="str">
        <f t="shared" si="3"/>
        <v/>
      </c>
      <c r="G33" s="32" t="str">
        <f t="shared" si="3"/>
        <v/>
      </c>
    </row>
    <row r="34" spans="1:7">
      <c r="A34" s="24" t="s">
        <v>35</v>
      </c>
      <c r="B34" s="27">
        <v>150</v>
      </c>
      <c r="C34" s="28">
        <f>IF(B34&gt;0,B34/K6,"")</f>
        <v>0.69032168990749687</v>
      </c>
      <c r="D34" s="31">
        <f>IF(B34&gt;0,-C34*L6/100/2*M6/100,"")</f>
        <v>-0.20709650697224904</v>
      </c>
      <c r="E34" s="32">
        <f>IF(B34&gt;0,D34*240,"")</f>
        <v>-49.703161673339771</v>
      </c>
      <c r="F34" s="32" t="str">
        <f t="shared" si="3"/>
        <v/>
      </c>
      <c r="G34" s="32" t="str">
        <f t="shared" si="3"/>
        <v/>
      </c>
    </row>
    <row r="35" spans="1:7">
      <c r="A35" s="8"/>
      <c r="B35" s="4" t="s">
        <v>38</v>
      </c>
      <c r="C35" s="4" t="s">
        <v>40</v>
      </c>
      <c r="D35" s="4" t="s">
        <v>40</v>
      </c>
      <c r="E35" s="4" t="s">
        <v>38</v>
      </c>
      <c r="F35" s="4" t="s">
        <v>39</v>
      </c>
      <c r="G35" s="4" t="s">
        <v>57</v>
      </c>
    </row>
    <row r="36" spans="1:7">
      <c r="B36" s="42" t="s">
        <v>65</v>
      </c>
    </row>
    <row r="42" spans="1:7">
      <c r="A42" t="s">
        <v>58</v>
      </c>
    </row>
  </sheetData>
  <mergeCells count="11">
    <mergeCell ref="M4:N4"/>
    <mergeCell ref="M5:N5"/>
    <mergeCell ref="M6:N6"/>
    <mergeCell ref="M7:N7"/>
    <mergeCell ref="M3:N3"/>
    <mergeCell ref="B31:C31"/>
    <mergeCell ref="F20:G20"/>
    <mergeCell ref="D4:E4"/>
    <mergeCell ref="F4:G4"/>
    <mergeCell ref="D30:G30"/>
    <mergeCell ref="D31:F31"/>
  </mergeCells>
  <phoneticPr fontId="4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A14"/>
  <sheetViews>
    <sheetView workbookViewId="0">
      <selection activeCell="H17" sqref="H17"/>
    </sheetView>
  </sheetViews>
  <sheetFormatPr baseColWidth="10" defaultRowHeight="15" x14ac:dyDescent="0"/>
  <sheetData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6" spans="1:1">
      <c r="A6" t="s">
        <v>74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2" spans="1:1">
      <c r="A12" t="s">
        <v>73</v>
      </c>
    </row>
    <row r="14" spans="1:1">
      <c r="A1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11"/>
  <sheetViews>
    <sheetView workbookViewId="0">
      <selection activeCell="A27" sqref="A27"/>
    </sheetView>
  </sheetViews>
  <sheetFormatPr baseColWidth="10" defaultRowHeight="15" x14ac:dyDescent="0"/>
  <cols>
    <col min="1" max="1" width="124.33203125" customWidth="1"/>
  </cols>
  <sheetData>
    <row r="1" spans="1:1" ht="20.25">
      <c r="A1" s="20" t="s">
        <v>27</v>
      </c>
    </row>
    <row r="2" spans="1:1" ht="110" customHeight="1">
      <c r="A2" s="21" t="s">
        <v>28</v>
      </c>
    </row>
    <row r="3" spans="1:1" ht="20.25">
      <c r="A3" s="20"/>
    </row>
    <row r="4" spans="1:1" ht="20.25">
      <c r="A4" s="20"/>
    </row>
    <row r="5" spans="1:1" ht="20.25">
      <c r="A5" s="20" t="s">
        <v>29</v>
      </c>
    </row>
    <row r="6" spans="1:1" ht="110" customHeight="1">
      <c r="A6" s="21" t="s">
        <v>30</v>
      </c>
    </row>
    <row r="7" spans="1:1" ht="20.25">
      <c r="A7" s="20"/>
    </row>
    <row r="8" spans="1:1" ht="20.25">
      <c r="A8" s="20"/>
    </row>
    <row r="9" spans="1:1" ht="20.25">
      <c r="A9" s="20"/>
    </row>
    <row r="10" spans="1:1" ht="20.25">
      <c r="A10" s="20"/>
    </row>
    <row r="11" spans="1:1" ht="80" customHeight="1">
      <c r="A11" s="21" t="s">
        <v>31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Cystinuria</vt:lpstr>
      <vt:lpstr>References</vt:lpstr>
      <vt:lpstr>Disclaimer and Copyright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Dr. F. Buchkremer</cp:lastModifiedBy>
  <cp:lastPrinted>2015-07-13T22:42:45Z</cp:lastPrinted>
  <dcterms:created xsi:type="dcterms:W3CDTF">2015-02-03T21:11:50Z</dcterms:created>
  <dcterms:modified xsi:type="dcterms:W3CDTF">2015-07-19T21:10:55Z</dcterms:modified>
</cp:coreProperties>
</file>